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<sst xmlns="http://schemas.openxmlformats.org/spreadsheetml/2006/main" count="613" uniqueCount="215">
  <si>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</si>
  <si>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</si>
  <si>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</si>
  <si>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</si>
  <si>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</si>
  <si>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</si>
  <si>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</si>
  <si>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</si>
  <si>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</si>
  <si>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</si>
  <si>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</si>
  <si>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</si>
  <si>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</si>
  <si>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</si>
  <si>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</si>
  <si>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</si>
  <si>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</si>
  <si>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</si>
  <si>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</si>
  <si>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</si>
  <si>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</si>
  <si>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</si>
  <si>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</si>
  <si>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</si>
  <si>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</si>
  <si>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</si>
  <si>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</si>
  <si>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</si>
  <si>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</si>
  <si>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</si>
  <si>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</si>
  <si>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</si>
  <si>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</si>
  <si>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</si>
  <si>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</si>
  <si>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</si>
  <si>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</si>
  <si>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</si>
  <si>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</si>
  <si>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</si>
  <si>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</si>
  <si>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</si>
  <si>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</si>
  <si>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</si>
  <si>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</si>
  <si>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</si>
  <si>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</si>
  <si>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</si>
  <si>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</si>
  <si>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</si>
  <si>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</si>
  <si>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</si>
  <si>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</si>
  <si>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</si>
  <si>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</si>
  <si>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</si>
  <si>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</si>
  <si>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</si>
  <si>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</si>
  <si>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</si>
  <si>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</si>
  <si>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</si>
  <si>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</si>
  <si>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</si>
  <si>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</si>
  <si>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</si>
  <si>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</si>
  <si>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</si>
  <si>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</si>
  <si>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</si>
  <si>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</si>
  <si>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</si>
  <si>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</si>
  <si>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</si>
  <si>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</si>
  <si>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</si>
  <si>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</si>
  <si>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</si>
  <si>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</si>
  <si>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</si>
  <si>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</si>
  <si>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</si>
  <si>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</si>
  <si>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</si>
  <si>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</si>
  <si>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</si>
  <si>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</si>
  <si>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</si>
  <si>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</si>
  <si>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</si>
  <si>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</si>
  <si>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</si>
  <si>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</si>
  <si>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</si>
  <si>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</si>
  <si>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</si>
  <si>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</si>
  <si>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</si>
  <si>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</si>
  <si>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</si>
  <si>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</si>
  <si>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</si>
  <si>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</si>
  <si>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</si>
  <si>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</si>
  <si>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</si>
  <si>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</si>
  <si>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</si>
  <si>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</si>
  <si>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</si>
  <si>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</si>
  <si>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</si>
  <si>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</si>
  <si>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</si>
  <si>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</si>
  <si>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</si>
  <si>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</si>
  <si>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</si>
  <si>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</si>
  <si>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</si>
  <si>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</si>
  <si>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</si>
  <si>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</si>
  <si>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</si>
  <si>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</si>
  <si>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</si>
  <si>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</si>
  <si>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</si>
  <si>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</si>
  <si>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</si>
  <si>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</si>
  <si>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</si>
  <si>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</si>
  <si>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</si>
  <si>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</si>
  <si>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</si>
  <si>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</si>
  <si>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</si>
  <si>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</si>
  <si>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</si>
  <si>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</si>
  <si>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</si>
  <si>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</si>
  <si>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</si>
  <si>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</si>
  <si>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</si>
  <si>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</si>
  <si>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</si>
  <si>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</si>
  <si>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</si>
  <si>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</si>
  <si>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</si>
  <si>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</si>
  <si>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</si>
  <si>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</si>
  <si>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</si>
  <si>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</si>
  <si>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</si>
  <si>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</si>
  <si>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</si>
  <si>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</si>
  <si>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</si>
  <si>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</si>
  <si>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</si>
  <si>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</si>
  <si>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</si>
  <si>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</si>
  <si>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</si>
  <si>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</si>
  <si>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</si>
  <si>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</si>
  <si>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</si>
  <si>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</si>
  <si>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</si>
  <si>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</si>
  <si>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</si>
  <si>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</si>
  <si>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</si>
  <si>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</si>
  <si>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</si>
  <si>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</si>
  <si>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</si>
  <si>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</si>
  <si>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</si>
  <si>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</si>
  <si>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</si>
  <si>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</si>
  <si>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</si>
  <si>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</si>
  <si>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</si>
  <si>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</si>
  <si>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</si>
  <si>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</si>
  <si>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</si>
  <si>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</si>
  <si>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</si>
  <si>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</si>
  <si>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</si>
  <si>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</si>
  <si>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</si>
  <si>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</si>
  <si>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</si>
  <si>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</si>
  <si>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</si>
  <si>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</si>
  <si>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</si>
  <si>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</si>
  <si>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</si>
  <si>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</si>
  <si>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</si>
  <si>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 на січень-лютий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</si>
  <si>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</si>
  <si>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</si>
  <si>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</si>
  <si>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26.03.14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</si>
</sst>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Лист4"/>
    </sheetNames>
    <sheetDataSet>
      <sheetData sheetId="17">
        <row r="6">
          <cell r="G6">
            <v>114434203.35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100608981.38999999</v>
          </cell>
        </row>
      </sheetData>
      <sheetData sheetId="19">
        <row r="28">
          <cell r="C28">
            <v>4044901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3" sqref="F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211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187</v>
      </c>
      <c r="J4" s="197" t="s">
        <v>188</v>
      </c>
      <c r="K4" s="201" t="s">
        <v>196</v>
      </c>
      <c r="L4" s="202"/>
      <c r="M4" s="214"/>
      <c r="N4" s="168" t="s">
        <v>214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210</v>
      </c>
      <c r="F5" s="216"/>
      <c r="G5" s="210"/>
      <c r="H5" s="178"/>
      <c r="I5" s="212"/>
      <c r="J5" s="199"/>
      <c r="K5" s="153"/>
      <c r="L5" s="164"/>
      <c r="M5" s="151" t="s">
        <v>212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96022.76</v>
      </c>
      <c r="G8" s="22">
        <f aca="true" t="shared" si="0" ref="G8:G30">F8-E8</f>
        <v>-19215.14000000003</v>
      </c>
      <c r="H8" s="51">
        <f>F8/E8*100</f>
        <v>83.3256767087911</v>
      </c>
      <c r="I8" s="36">
        <f aca="true" t="shared" si="1" ref="I8:I17">F8-D8</f>
        <v>-423306.54</v>
      </c>
      <c r="J8" s="36">
        <f aca="true" t="shared" si="2" ref="J8:J14">F8/D8*100</f>
        <v>18.489763623966525</v>
      </c>
      <c r="K8" s="36">
        <f>F8-110917.9</f>
        <v>-14895.14</v>
      </c>
      <c r="L8" s="136">
        <f>F8/110917.9</f>
        <v>0.8657102235076575</v>
      </c>
      <c r="M8" s="22">
        <f>M10+M19+M33+M56+M68+M30</f>
        <v>41173.10000000001</v>
      </c>
      <c r="N8" s="22">
        <f>N10+N19+N33+N56+N68+N30</f>
        <v>26709.509999999995</v>
      </c>
      <c r="O8" s="36">
        <f aca="true" t="shared" si="3" ref="O8:O71">N8-M8</f>
        <v>-14463.590000000018</v>
      </c>
      <c r="P8" s="36">
        <f>F8/M8*100</f>
        <v>233.21722192402314</v>
      </c>
      <c r="Q8" s="36">
        <f>N8-38338.6</f>
        <v>-11629.090000000004</v>
      </c>
      <c r="R8" s="134">
        <f>N8/38338.6</f>
        <v>0.6966741091223987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77544.48</v>
      </c>
      <c r="G9" s="22">
        <f t="shared" si="0"/>
        <v>77544.48</v>
      </c>
      <c r="H9" s="20"/>
      <c r="I9" s="56">
        <f t="shared" si="1"/>
        <v>-340821.72000000003</v>
      </c>
      <c r="J9" s="56">
        <f t="shared" si="2"/>
        <v>18.535072862004625</v>
      </c>
      <c r="K9" s="56"/>
      <c r="L9" s="135"/>
      <c r="M9" s="20">
        <f>M10+M17</f>
        <v>33586.40000000001</v>
      </c>
      <c r="N9" s="20">
        <f>N10+N17</f>
        <v>22798.489999999998</v>
      </c>
      <c r="O9" s="36">
        <f t="shared" si="3"/>
        <v>-10787.91000000001</v>
      </c>
      <c r="P9" s="56">
        <f>F9/M9*100</f>
        <v>230.88059452635585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77544.48</v>
      </c>
      <c r="G10" s="49">
        <f t="shared" si="0"/>
        <v>-15912.12000000001</v>
      </c>
      <c r="H10" s="40">
        <f aca="true" t="shared" si="4" ref="H10:H17">F10/E10*100</f>
        <v>82.97378676305365</v>
      </c>
      <c r="I10" s="56">
        <f t="shared" si="1"/>
        <v>-340821.72000000003</v>
      </c>
      <c r="J10" s="56">
        <f t="shared" si="2"/>
        <v>18.535072862004625</v>
      </c>
      <c r="K10" s="141">
        <f>F10-85215.1</f>
        <v>-7670.62000000001</v>
      </c>
      <c r="L10" s="142">
        <f>F10/85215.1</f>
        <v>0.9099852021531394</v>
      </c>
      <c r="M10" s="40">
        <f>E10-лютий!E10</f>
        <v>33586.40000000001</v>
      </c>
      <c r="N10" s="40">
        <f>F10-лютий!F10</f>
        <v>22798.489999999998</v>
      </c>
      <c r="O10" s="53">
        <f t="shared" si="3"/>
        <v>-10787.91000000001</v>
      </c>
      <c r="P10" s="56">
        <f aca="true" t="shared" si="5" ref="P10:P17">N10/M10*100</f>
        <v>67.8801240978491</v>
      </c>
      <c r="Q10" s="141">
        <f>N10-30092.3</f>
        <v>-7293.810000000001</v>
      </c>
      <c r="R10" s="142">
        <f>N10/30092.3</f>
        <v>0.7576187263851549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180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9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16015.81</v>
      </c>
      <c r="G33" s="49">
        <f aca="true" t="shared" si="14" ref="G33:G72">F33-E33</f>
        <v>-2842.6900000000005</v>
      </c>
      <c r="H33" s="40">
        <f aca="true" t="shared" si="15" ref="H33:H67">F33/E33*100</f>
        <v>84.92621364371503</v>
      </c>
      <c r="I33" s="56">
        <f>F33-D33</f>
        <v>-72050.19</v>
      </c>
      <c r="J33" s="56">
        <f aca="true" t="shared" si="16" ref="J33:J72">F33/D33*100</f>
        <v>18.18614448254718</v>
      </c>
      <c r="K33" s="141">
        <f>F33-19762.7</f>
        <v>-3746.8900000000012</v>
      </c>
      <c r="L33" s="142">
        <f>F33/19762.7</f>
        <v>0.8104059667960349</v>
      </c>
      <c r="M33" s="40">
        <f>E33-лютий!E33</f>
        <v>6470.299999999999</v>
      </c>
      <c r="N33" s="40">
        <f>F33-лютий!F33</f>
        <v>3258.8099999999995</v>
      </c>
      <c r="O33" s="53">
        <f t="shared" si="3"/>
        <v>-3211.49</v>
      </c>
      <c r="P33" s="56">
        <f aca="true" t="shared" si="17" ref="P33:P67">N33/M33*100</f>
        <v>50.36567083442808</v>
      </c>
      <c r="Q33" s="141">
        <f>N33-7227.1</f>
        <v>-3968.290000000001</v>
      </c>
      <c r="R33" s="142">
        <f>N33/7227.1</f>
        <v>0.45091530489407916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181</v>
      </c>
      <c r="C55" s="65"/>
      <c r="D55" s="144">
        <f>56066+10200</f>
        <v>66266</v>
      </c>
      <c r="E55" s="144">
        <f>13737.9+280.3</f>
        <v>14018.199999999999</v>
      </c>
      <c r="F55" s="146">
        <v>12050.68</v>
      </c>
      <c r="G55" s="144">
        <f t="shared" si="14"/>
        <v>-1967.5199999999986</v>
      </c>
      <c r="H55" s="146">
        <f t="shared" si="15"/>
        <v>85.96453182291593</v>
      </c>
      <c r="I55" s="145">
        <f t="shared" si="18"/>
        <v>-54215.32</v>
      </c>
      <c r="J55" s="145">
        <f t="shared" si="16"/>
        <v>18.18531373555066</v>
      </c>
      <c r="K55" s="148">
        <f>F55-14615.9</f>
        <v>-2565.2199999999993</v>
      </c>
      <c r="L55" s="149">
        <f>F55/14615.9</f>
        <v>0.8244911363651913</v>
      </c>
      <c r="M55" s="146">
        <f>E55-лютий!E55</f>
        <v>4518.199999999999</v>
      </c>
      <c r="N55" s="146">
        <f>F55-лютий!F55</f>
        <v>2570.5699999999997</v>
      </c>
      <c r="O55" s="148">
        <f t="shared" si="3"/>
        <v>-1947.6299999999992</v>
      </c>
      <c r="P55" s="148">
        <f t="shared" si="17"/>
        <v>56.893674472134926</v>
      </c>
      <c r="Q55" s="194">
        <f>N55-4813.8</f>
        <v>-2243.2300000000005</v>
      </c>
      <c r="R55" s="195">
        <f>N55/4813.8</f>
        <v>0.5340001661888736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1643.1</v>
      </c>
      <c r="G56" s="49">
        <f t="shared" si="14"/>
        <v>-42</v>
      </c>
      <c r="H56" s="40">
        <f t="shared" si="15"/>
        <v>97.50756631653907</v>
      </c>
      <c r="I56" s="56">
        <f t="shared" si="18"/>
        <v>-5216.9</v>
      </c>
      <c r="J56" s="56">
        <f t="shared" si="16"/>
        <v>23.951895043731778</v>
      </c>
      <c r="K56" s="56">
        <f>F56-1629.5</f>
        <v>13.599999999999909</v>
      </c>
      <c r="L56" s="135">
        <f>F56/1629.5</f>
        <v>1.0083461184412397</v>
      </c>
      <c r="M56" s="40">
        <f>E56-лютий!E56</f>
        <v>605.3999999999999</v>
      </c>
      <c r="N56" s="40">
        <f>F56-лютий!F56</f>
        <v>575.6399999999999</v>
      </c>
      <c r="O56" s="53">
        <f t="shared" si="3"/>
        <v>-29.75999999999999</v>
      </c>
      <c r="P56" s="56">
        <f t="shared" si="17"/>
        <v>95.08424182358772</v>
      </c>
      <c r="Q56" s="56">
        <f>N56-609.7</f>
        <v>-34.06000000000017</v>
      </c>
      <c r="R56" s="135">
        <f>N56/609.7</f>
        <v>0.9441364605543707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5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3041.46</v>
      </c>
      <c r="G74" s="50">
        <f aca="true" t="shared" si="24" ref="G74:G92">F74-E74</f>
        <v>209.46000000000004</v>
      </c>
      <c r="H74" s="51">
        <f aca="true" t="shared" si="25" ref="H74:H87">F74/E74*100</f>
        <v>107.39618644067797</v>
      </c>
      <c r="I74" s="36">
        <f aca="true" t="shared" si="26" ref="I74:I92">F74-D74</f>
        <v>-14624.14</v>
      </c>
      <c r="J74" s="36">
        <f aca="true" t="shared" si="27" ref="J74:J92">F74/D74*100</f>
        <v>17.21685082872928</v>
      </c>
      <c r="K74" s="36">
        <f>F74-3848.8</f>
        <v>-807.3400000000001</v>
      </c>
      <c r="L74" s="136">
        <f>F74/3848.8</f>
        <v>0.7902359176886302</v>
      </c>
      <c r="M74" s="22">
        <f>M77+M86+M88+M89+M94+M95+M96+M97+M99+M87+M103</f>
        <v>965</v>
      </c>
      <c r="N74" s="22">
        <f>N77+N86+N88+N89+N94+N95+N96+N97+N99+N32+N103+N87</f>
        <v>936.9399999999999</v>
      </c>
      <c r="O74" s="55">
        <f aca="true" t="shared" si="28" ref="O74:O92">N74-M74</f>
        <v>-28.06000000000006</v>
      </c>
      <c r="P74" s="36">
        <f>N74/M74*100</f>
        <v>97.0922279792746</v>
      </c>
      <c r="Q74" s="36">
        <f>N74-1138.4</f>
        <v>-201.46000000000015</v>
      </c>
      <c r="R74" s="136">
        <f>N74/1138.4</f>
        <v>0.8230323260716794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170</v>
      </c>
      <c r="C87" s="64">
        <v>21080500</v>
      </c>
      <c r="D87" s="41"/>
      <c r="E87" s="41">
        <v>0</v>
      </c>
      <c r="F87" s="57">
        <v>207.71</v>
      </c>
      <c r="G87" s="49">
        <f t="shared" si="24"/>
        <v>207.71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110.33000000000001</v>
      </c>
      <c r="O87" s="53">
        <f t="shared" si="28"/>
        <v>110.33000000000001</v>
      </c>
      <c r="P87" s="56" t="e">
        <f t="shared" si="29"/>
        <v>#DIV/0!</v>
      </c>
      <c r="Q87" s="56">
        <f>N87-0</f>
        <v>110.33000000000001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25.66</v>
      </c>
      <c r="G89" s="49">
        <f t="shared" si="24"/>
        <v>-13.34</v>
      </c>
      <c r="H89" s="40">
        <f>F89/E89*100</f>
        <v>65.7948717948718</v>
      </c>
      <c r="I89" s="56">
        <f t="shared" si="26"/>
        <v>-149.34</v>
      </c>
      <c r="J89" s="56">
        <f t="shared" si="27"/>
        <v>14.662857142857144</v>
      </c>
      <c r="K89" s="56">
        <f>F89-47.5</f>
        <v>-21.84</v>
      </c>
      <c r="L89" s="135">
        <f>F89/47.5</f>
        <v>0.5402105263157895</v>
      </c>
      <c r="M89" s="40">
        <f>E89-лютий!E89</f>
        <v>15</v>
      </c>
      <c r="N89" s="40">
        <f>F89-лютий!F89</f>
        <v>6.25</v>
      </c>
      <c r="O89" s="53">
        <f t="shared" si="28"/>
        <v>-8.75</v>
      </c>
      <c r="P89" s="56">
        <f>N89/M89*100</f>
        <v>41.66666666666667</v>
      </c>
      <c r="Q89" s="56">
        <f>N89-15.9</f>
        <v>-9.65</v>
      </c>
      <c r="R89" s="135">
        <f>N89/15.9</f>
        <v>0.3930817610062893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1714.01</v>
      </c>
      <c r="G95" s="49">
        <f t="shared" si="31"/>
        <v>37.50999999999999</v>
      </c>
      <c r="H95" s="40">
        <f>F95/E95*100</f>
        <v>102.23739934387115</v>
      </c>
      <c r="I95" s="56">
        <f t="shared" si="32"/>
        <v>-4585.99</v>
      </c>
      <c r="J95" s="56">
        <f>F95/D95*100</f>
        <v>27.206507936507933</v>
      </c>
      <c r="K95" s="56">
        <f>F95-1478.7</f>
        <v>235.30999999999995</v>
      </c>
      <c r="L95" s="135">
        <f>F95/1478.7</f>
        <v>1.159133022249273</v>
      </c>
      <c r="M95" s="40">
        <f>E95-лютий!E95</f>
        <v>515</v>
      </c>
      <c r="N95" s="40">
        <f>F95-лютий!F95</f>
        <v>524.0899999999999</v>
      </c>
      <c r="O95" s="53">
        <f t="shared" si="33"/>
        <v>9.089999999999918</v>
      </c>
      <c r="P95" s="56">
        <f>N95/M95*100</f>
        <v>101.7650485436893</v>
      </c>
      <c r="Q95" s="56">
        <f>N95-653.7</f>
        <v>-129.61000000000013</v>
      </c>
      <c r="R95" s="135">
        <f>N95/653.7</f>
        <v>0.8017286216919074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191.4</v>
      </c>
      <c r="G96" s="49">
        <f t="shared" si="31"/>
        <v>-33.099999999999994</v>
      </c>
      <c r="H96" s="40">
        <f>F96/E96*100</f>
        <v>85.25612472160357</v>
      </c>
      <c r="I96" s="56">
        <f t="shared" si="32"/>
        <v>-1008.6</v>
      </c>
      <c r="J96" s="56">
        <f>F96/D96*100</f>
        <v>15.950000000000001</v>
      </c>
      <c r="K96" s="56">
        <f>F96-161.5</f>
        <v>29.900000000000006</v>
      </c>
      <c r="L96" s="135">
        <f>F96/161.5</f>
        <v>1.1851393188854489</v>
      </c>
      <c r="M96" s="40">
        <f>E96-лютий!E96</f>
        <v>80</v>
      </c>
      <c r="N96" s="40">
        <f>F96-лютий!F96</f>
        <v>64.86</v>
      </c>
      <c r="O96" s="53">
        <f t="shared" si="33"/>
        <v>-15.14</v>
      </c>
      <c r="P96" s="56">
        <f>N96/M96*100</f>
        <v>81.075</v>
      </c>
      <c r="Q96" s="56">
        <f>N96-101.5</f>
        <v>-36.64</v>
      </c>
      <c r="R96" s="135">
        <f>N96/101.5</f>
        <v>0.6390147783251231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862.17</v>
      </c>
      <c r="G99" s="49">
        <f t="shared" si="31"/>
        <v>85.16999999999996</v>
      </c>
      <c r="H99" s="40">
        <f>F99/E99*100</f>
        <v>110.96138996138995</v>
      </c>
      <c r="I99" s="56">
        <f t="shared" si="32"/>
        <v>-3017.83</v>
      </c>
      <c r="J99" s="56">
        <f>F99/D99*100</f>
        <v>22.220876288659795</v>
      </c>
      <c r="K99" s="56">
        <f>F99-730.6</f>
        <v>131.56999999999994</v>
      </c>
      <c r="L99" s="135">
        <f>F99/730.6</f>
        <v>1.1800848617574595</v>
      </c>
      <c r="M99" s="40">
        <f>E99-лютий!E99</f>
        <v>250</v>
      </c>
      <c r="N99" s="40">
        <f>F99-лютий!F99</f>
        <v>210.16999999999996</v>
      </c>
      <c r="O99" s="53">
        <f t="shared" si="33"/>
        <v>-39.83000000000004</v>
      </c>
      <c r="P99" s="56">
        <f>N99/M99*100</f>
        <v>84.06799999999998</v>
      </c>
      <c r="Q99" s="56">
        <f>N99-242.1</f>
        <v>-31.930000000000035</v>
      </c>
      <c r="R99" s="135">
        <f>N99/242.1</f>
        <v>0.868112350268484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161.7</v>
      </c>
      <c r="G102" s="144"/>
      <c r="H102" s="146"/>
      <c r="I102" s="145"/>
      <c r="J102" s="145"/>
      <c r="K102" s="148">
        <f>F102-88.6</f>
        <v>73.1</v>
      </c>
      <c r="L102" s="149">
        <f>F102/88.6</f>
        <v>1.825056433408578</v>
      </c>
      <c r="M102" s="40">
        <f>E102-лютий!E102</f>
        <v>0</v>
      </c>
      <c r="N102" s="40">
        <f>F102-лютий!F102</f>
        <v>31.599999999999994</v>
      </c>
      <c r="O102" s="53"/>
      <c r="P102" s="60"/>
      <c r="Q102" s="60">
        <f>N102-31.4</f>
        <v>0.19999999999999574</v>
      </c>
      <c r="R102" s="135">
        <f>N102/31.4</f>
        <v>1.0063694267515921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13.2</v>
      </c>
      <c r="G103" s="49"/>
      <c r="H103" s="40"/>
      <c r="I103" s="56">
        <f aca="true" t="shared" si="34" ref="I103:I110">F103-D103</f>
        <v>-52.3</v>
      </c>
      <c r="J103" s="56"/>
      <c r="K103" s="56">
        <f>F103-24.2</f>
        <v>-11</v>
      </c>
      <c r="L103" s="135">
        <f>F103/24.2</f>
        <v>0.5454545454545454</v>
      </c>
      <c r="M103" s="40">
        <f>E103-лютий!E103</f>
        <v>24.5</v>
      </c>
      <c r="N103" s="40">
        <f>F103-лютий!F103</f>
        <v>13.2</v>
      </c>
      <c r="O103" s="53">
        <f aca="true" t="shared" si="35" ref="O103:O109">N103-M103</f>
        <v>-11.3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2.69</v>
      </c>
      <c r="G104" s="49">
        <f>F104-E104</f>
        <v>-3.5100000000000002</v>
      </c>
      <c r="H104" s="40"/>
      <c r="I104" s="56">
        <f t="shared" si="34"/>
        <v>-42.31</v>
      </c>
      <c r="J104" s="56">
        <f aca="true" t="shared" si="36" ref="J104:J109">F104/D104*100</f>
        <v>5.977777777777778</v>
      </c>
      <c r="K104" s="56">
        <f>F104-12.1</f>
        <v>-9.41</v>
      </c>
      <c r="L104" s="135">
        <f>F104/12.1</f>
        <v>0.22231404958677686</v>
      </c>
      <c r="M104" s="40">
        <f>E104-лютий!E104</f>
        <v>2</v>
      </c>
      <c r="N104" s="40">
        <f>F104-лютий!F104</f>
        <v>0.009999999999999787</v>
      </c>
      <c r="O104" s="53">
        <f t="shared" si="35"/>
        <v>-1.9900000000000002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99066.95</v>
      </c>
      <c r="G106" s="50">
        <f>F106-E106</f>
        <v>-19009.150000000023</v>
      </c>
      <c r="H106" s="51">
        <f>F106/E106*100</f>
        <v>83.90093338109912</v>
      </c>
      <c r="I106" s="36">
        <f t="shared" si="34"/>
        <v>-437972.95</v>
      </c>
      <c r="J106" s="36">
        <f t="shared" si="36"/>
        <v>18.446850969546208</v>
      </c>
      <c r="K106" s="36">
        <f>F106-114781.4</f>
        <v>-15714.449999999997</v>
      </c>
      <c r="L106" s="136">
        <f>F106/114781.4</f>
        <v>0.8630923651392995</v>
      </c>
      <c r="M106" s="22">
        <f>M8+M74+M104+M105</f>
        <v>42140.10000000001</v>
      </c>
      <c r="N106" s="22">
        <f>N8+N74+N104+N105</f>
        <v>27646.48999999999</v>
      </c>
      <c r="O106" s="55">
        <f t="shared" si="35"/>
        <v>-14493.610000000022</v>
      </c>
      <c r="P106" s="36">
        <f>N106/M106*100</f>
        <v>65.60613287581182</v>
      </c>
      <c r="Q106" s="36">
        <f>N106-39480.5</f>
        <v>-11834.01000000001</v>
      </c>
      <c r="R106" s="136">
        <f>N106/39480.5</f>
        <v>0.7002568356530436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77735.87999999999</v>
      </c>
      <c r="G107" s="71">
        <f>G10-G18+G96</f>
        <v>-15945.22000000001</v>
      </c>
      <c r="H107" s="72">
        <f>F107/E107*100</f>
        <v>82.97925622137228</v>
      </c>
      <c r="I107" s="52">
        <f t="shared" si="34"/>
        <v>-341830.32</v>
      </c>
      <c r="J107" s="52">
        <f t="shared" si="36"/>
        <v>18.527679303051578</v>
      </c>
      <c r="K107" s="52">
        <f>F107-85425.6</f>
        <v>-7689.720000000016</v>
      </c>
      <c r="L107" s="137">
        <f>F107/85425.6</f>
        <v>0.9099834241726131</v>
      </c>
      <c r="M107" s="71">
        <f>M10-M18+M96</f>
        <v>33666.40000000001</v>
      </c>
      <c r="N107" s="71">
        <f>N10-N18+N96</f>
        <v>22863.35</v>
      </c>
      <c r="O107" s="53">
        <f t="shared" si="35"/>
        <v>-10803.05000000001</v>
      </c>
      <c r="P107" s="52">
        <f>N107/M107*100</f>
        <v>67.91147850676043</v>
      </c>
      <c r="Q107" s="52">
        <f>N107-30211.8</f>
        <v>-7348.450000000001</v>
      </c>
      <c r="R107" s="137">
        <f>N107/30211.8</f>
        <v>0.7567688783852666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21331.070000000007</v>
      </c>
      <c r="G108" s="62">
        <f>F108-E108</f>
        <v>-3063.9300000000076</v>
      </c>
      <c r="H108" s="72">
        <f>F108/E108*100</f>
        <v>87.44033613445376</v>
      </c>
      <c r="I108" s="52">
        <f t="shared" si="34"/>
        <v>-96142.63</v>
      </c>
      <c r="J108" s="52">
        <f t="shared" si="36"/>
        <v>18.158166466196267</v>
      </c>
      <c r="K108" s="52">
        <f>F108-29355.8</f>
        <v>-8024.729999999992</v>
      </c>
      <c r="L108" s="137">
        <f>F108/29355.8</f>
        <v>0.7266390287438942</v>
      </c>
      <c r="M108" s="71">
        <f>M106-M107</f>
        <v>8473.700000000004</v>
      </c>
      <c r="N108" s="71">
        <f>N106-N107</f>
        <v>4783.139999999992</v>
      </c>
      <c r="O108" s="53">
        <f t="shared" si="35"/>
        <v>-3690.560000000012</v>
      </c>
      <c r="P108" s="52">
        <f>N108/M108*100</f>
        <v>56.446888608281974</v>
      </c>
      <c r="Q108" s="52">
        <f>N108-9268.6</f>
        <v>-4485.460000000008</v>
      </c>
      <c r="R108" s="137">
        <f>N108/9268.6</f>
        <v>0.5160585201648569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77735.87999999999</v>
      </c>
      <c r="G109" s="111">
        <f>F109-E109</f>
        <v>-15945.220000000016</v>
      </c>
      <c r="H109" s="72">
        <f>F109/E109*100</f>
        <v>82.97925622137228</v>
      </c>
      <c r="I109" s="81">
        <f t="shared" si="34"/>
        <v>-341830.32</v>
      </c>
      <c r="J109" s="52">
        <f t="shared" si="36"/>
        <v>18.527679303051578</v>
      </c>
      <c r="K109" s="52"/>
      <c r="L109" s="137"/>
      <c r="M109" s="122">
        <f>E109-лютий!E109</f>
        <v>33666.40000000001</v>
      </c>
      <c r="N109" s="71">
        <f>N107</f>
        <v>22863.35</v>
      </c>
      <c r="O109" s="118">
        <f t="shared" si="35"/>
        <v>-10803.05000000001</v>
      </c>
      <c r="P109" s="52">
        <f>N109/M109*100</f>
        <v>67.91147850676043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4044.901</v>
      </c>
      <c r="G110" s="62">
        <f>F110-E110</f>
        <v>-825.4989999999998</v>
      </c>
      <c r="H110" s="72"/>
      <c r="I110" s="85">
        <f t="shared" si="34"/>
        <v>-825.4790000000003</v>
      </c>
      <c r="J110" s="52"/>
      <c r="K110" s="52"/>
      <c r="L110" s="137"/>
      <c r="M110" s="40">
        <f>E110-лютий!E110</f>
        <v>1650.9889999999996</v>
      </c>
      <c r="N110" s="71">
        <f>F110-лютий!F110</f>
        <v>825.4899999999998</v>
      </c>
      <c r="O110" s="86">
        <f>N110-M110</f>
        <v>-825.4989999999998</v>
      </c>
      <c r="P110" s="52">
        <f>N110/M110*100</f>
        <v>49.99972743610042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248.55</v>
      </c>
      <c r="G114" s="49">
        <f t="shared" si="37"/>
        <v>-466.05</v>
      </c>
      <c r="H114" s="40">
        <f aca="true" t="shared" si="39" ref="H114:H125">F114/E114*100</f>
        <v>34.781696053736354</v>
      </c>
      <c r="I114" s="60">
        <f t="shared" si="38"/>
        <v>-3422.95</v>
      </c>
      <c r="J114" s="60">
        <f aca="true" t="shared" si="40" ref="J114:J120">F114/D114*100</f>
        <v>6.769712651504835</v>
      </c>
      <c r="K114" s="60">
        <f>F114-834.4</f>
        <v>-585.8499999999999</v>
      </c>
      <c r="L114" s="138">
        <f>F114/834.4</f>
        <v>0.29787871524448706</v>
      </c>
      <c r="M114" s="40">
        <f>E114-лютий!E114</f>
        <v>327.5</v>
      </c>
      <c r="N114" s="40">
        <f>F114-лютий!F114</f>
        <v>69.31</v>
      </c>
      <c r="O114" s="53">
        <f aca="true" t="shared" si="41" ref="O114:O125">N114-M114</f>
        <v>-258.19</v>
      </c>
      <c r="P114" s="60">
        <f>N114/M114*100</f>
        <v>21.163358778625955</v>
      </c>
      <c r="Q114" s="60">
        <f>N114-228.9</f>
        <v>-159.59</v>
      </c>
      <c r="R114" s="138">
        <f>N114/228.9</f>
        <v>0.30279598077763215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316.36</v>
      </c>
      <c r="G116" s="62">
        <f t="shared" si="37"/>
        <v>-466.74</v>
      </c>
      <c r="H116" s="72">
        <f t="shared" si="39"/>
        <v>40.39841654961052</v>
      </c>
      <c r="I116" s="61">
        <f t="shared" si="38"/>
        <v>-3623.24</v>
      </c>
      <c r="J116" s="61">
        <f t="shared" si="40"/>
        <v>8.030256878870953</v>
      </c>
      <c r="K116" s="61">
        <f>F116-902.4</f>
        <v>-586.04</v>
      </c>
      <c r="L116" s="139">
        <f>F116/902.4</f>
        <v>0.3505762411347518</v>
      </c>
      <c r="M116" s="62">
        <f>M114+M115+M113</f>
        <v>349.5</v>
      </c>
      <c r="N116" s="38">
        <f>SUM(N113:N115)</f>
        <v>93.04</v>
      </c>
      <c r="O116" s="61">
        <f t="shared" si="41"/>
        <v>-256.46</v>
      </c>
      <c r="P116" s="61">
        <f>N116/M116*100</f>
        <v>26.620886981402002</v>
      </c>
      <c r="Q116" s="61">
        <f>N116-253.5</f>
        <v>-160.45999999999998</v>
      </c>
      <c r="R116" s="139">
        <f>N116/253.5</f>
        <v>0.3670216962524655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101.3</v>
      </c>
      <c r="G118" s="49">
        <f t="shared" si="37"/>
        <v>101.3</v>
      </c>
      <c r="H118" s="40" t="e">
        <f t="shared" si="39"/>
        <v>#DIV/0!</v>
      </c>
      <c r="I118" s="60">
        <f t="shared" si="38"/>
        <v>101.3</v>
      </c>
      <c r="J118" s="60" t="e">
        <f t="shared" si="40"/>
        <v>#DIV/0!</v>
      </c>
      <c r="K118" s="60">
        <f>F118-7.7</f>
        <v>93.6</v>
      </c>
      <c r="L118" s="138">
        <f>F118/7.7</f>
        <v>13.155844155844155</v>
      </c>
      <c r="M118" s="40">
        <f>E118-лютий!E118</f>
        <v>0</v>
      </c>
      <c r="N118" s="40">
        <f>F118-лютий!F118</f>
        <v>43.91</v>
      </c>
      <c r="O118" s="53" t="s">
        <v>166</v>
      </c>
      <c r="P118" s="60"/>
      <c r="Q118" s="60">
        <f>N118-2.5</f>
        <v>41.41</v>
      </c>
      <c r="R118" s="138">
        <f>N118/2.5</f>
        <v>17.564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19375.88</v>
      </c>
      <c r="G119" s="49">
        <f t="shared" si="37"/>
        <v>763.2800000000025</v>
      </c>
      <c r="H119" s="40">
        <f t="shared" si="39"/>
        <v>104.10087789991726</v>
      </c>
      <c r="I119" s="53">
        <f t="shared" si="38"/>
        <v>-6611.504999999997</v>
      </c>
      <c r="J119" s="60">
        <f t="shared" si="40"/>
        <v>74.55879073635151</v>
      </c>
      <c r="K119" s="60">
        <f>F119-17244.2</f>
        <v>2131.6800000000003</v>
      </c>
      <c r="L119" s="138">
        <f>F119/17244.2</f>
        <v>1.123617216223426</v>
      </c>
      <c r="M119" s="40">
        <f>E119-лютий!E119</f>
        <v>3092.999999999998</v>
      </c>
      <c r="N119" s="40">
        <f>F119-лютий!F119</f>
        <v>2494.540000000001</v>
      </c>
      <c r="O119" s="53">
        <f t="shared" si="41"/>
        <v>-598.4599999999973</v>
      </c>
      <c r="P119" s="60">
        <f aca="true" t="shared" si="42" ref="P119:P124">N119/M119*100</f>
        <v>80.65114775299071</v>
      </c>
      <c r="Q119" s="60">
        <f>N119-2792.9</f>
        <v>-298.3599999999992</v>
      </c>
      <c r="R119" s="138">
        <f>N119/2792.9</f>
        <v>0.8931719717855995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518.62</v>
      </c>
      <c r="G120" s="49">
        <f t="shared" si="37"/>
        <v>518.62</v>
      </c>
      <c r="H120" s="40" t="e">
        <f t="shared" si="39"/>
        <v>#DIV/0!</v>
      </c>
      <c r="I120" s="60">
        <f t="shared" si="38"/>
        <v>518.62</v>
      </c>
      <c r="J120" s="60" t="e">
        <f t="shared" si="40"/>
        <v>#DIV/0!</v>
      </c>
      <c r="K120" s="60">
        <f>F120-280.5</f>
        <v>238.12</v>
      </c>
      <c r="L120" s="138">
        <f>F120/230.5</f>
        <v>2.2499783080260305</v>
      </c>
      <c r="M120" s="40">
        <f>E120-лютий!E120</f>
        <v>0</v>
      </c>
      <c r="N120" s="40">
        <f>F120-лютий!F120</f>
        <v>42.72000000000003</v>
      </c>
      <c r="O120" s="53">
        <f t="shared" si="41"/>
        <v>42.72000000000003</v>
      </c>
      <c r="P120" s="60" t="e">
        <f t="shared" si="42"/>
        <v>#DIV/0!</v>
      </c>
      <c r="Q120" s="60">
        <f>N120-0</f>
        <v>42.72000000000003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1140.63</v>
      </c>
      <c r="G121" s="49">
        <f t="shared" si="37"/>
        <v>1140.63</v>
      </c>
      <c r="H121" s="40" t="e">
        <f t="shared" si="39"/>
        <v>#DIV/0!</v>
      </c>
      <c r="I121" s="60">
        <f t="shared" si="38"/>
        <v>1140.63</v>
      </c>
      <c r="J121" s="60" t="e">
        <f>F121/D121*100</f>
        <v>#DIV/0!</v>
      </c>
      <c r="K121" s="60">
        <f>F121-6993.4</f>
        <v>-5852.7699999999995</v>
      </c>
      <c r="L121" s="138">
        <f>F121/6993.4</f>
        <v>0.16310092372808652</v>
      </c>
      <c r="M121" s="40">
        <f>E121-лютий!E121</f>
        <v>0</v>
      </c>
      <c r="N121" s="40">
        <f>F121-лютий!F121</f>
        <v>97.46000000000004</v>
      </c>
      <c r="O121" s="53">
        <f t="shared" si="41"/>
        <v>97.46000000000004</v>
      </c>
      <c r="P121" s="60" t="e">
        <f t="shared" si="42"/>
        <v>#DIV/0!</v>
      </c>
      <c r="Q121" s="60">
        <f>N121-6463.4</f>
        <v>-6365.94</v>
      </c>
      <c r="R121" s="138">
        <f>N121/6463.4</f>
        <v>0.01507875112170066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421.33</v>
      </c>
      <c r="G122" s="49">
        <f t="shared" si="37"/>
        <v>421.33</v>
      </c>
      <c r="H122" s="40" t="e">
        <f t="shared" si="39"/>
        <v>#DIV/0!</v>
      </c>
      <c r="I122" s="60">
        <f t="shared" si="38"/>
        <v>421.33</v>
      </c>
      <c r="J122" s="60" t="e">
        <f>F122/D122*100</f>
        <v>#DIV/0!</v>
      </c>
      <c r="K122" s="60">
        <f>F122-314.5</f>
        <v>106.82999999999998</v>
      </c>
      <c r="L122" s="138">
        <f>F122/314.5</f>
        <v>1.3396820349761527</v>
      </c>
      <c r="M122" s="40">
        <f>E122-лютий!E122</f>
        <v>0</v>
      </c>
      <c r="N122" s="40">
        <f>F122-лютий!F122</f>
        <v>333.92999999999995</v>
      </c>
      <c r="O122" s="53">
        <f t="shared" si="41"/>
        <v>333.92999999999995</v>
      </c>
      <c r="P122" s="60" t="e">
        <f t="shared" si="42"/>
        <v>#DIV/0!</v>
      </c>
      <c r="Q122" s="60">
        <f>N122-7.7</f>
        <v>326.22999999999996</v>
      </c>
      <c r="R122" s="138">
        <f>N122/7.7</f>
        <v>43.36753246753246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21557.760000000002</v>
      </c>
      <c r="G123" s="62">
        <f t="shared" si="37"/>
        <v>2945.1600000000035</v>
      </c>
      <c r="H123" s="72">
        <f t="shared" si="39"/>
        <v>115.82347442055382</v>
      </c>
      <c r="I123" s="61">
        <f t="shared" si="38"/>
        <v>-4429.624999999996</v>
      </c>
      <c r="J123" s="61">
        <f>F123/D123*100</f>
        <v>82.95471052589556</v>
      </c>
      <c r="K123" s="61">
        <f>F123-24840.3</f>
        <v>-3282.5399999999972</v>
      </c>
      <c r="L123" s="139">
        <f>F123/24840.3</f>
        <v>0.8678542529679595</v>
      </c>
      <c r="M123" s="62">
        <f>M119+M120+M121+M122+M118</f>
        <v>3092.999999999998</v>
      </c>
      <c r="N123" s="62">
        <f>N119+N120+N121+N122+N118</f>
        <v>3012.560000000001</v>
      </c>
      <c r="O123" s="61">
        <f t="shared" si="41"/>
        <v>-80.43999999999733</v>
      </c>
      <c r="P123" s="61">
        <f t="shared" si="42"/>
        <v>97.3992887164566</v>
      </c>
      <c r="Q123" s="61">
        <f>N123-9266.6</f>
        <v>-6254.039999999999</v>
      </c>
      <c r="R123" s="139">
        <f>N123/9266.6</f>
        <v>0.3250987417175664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4.18</v>
      </c>
      <c r="G124" s="49">
        <f t="shared" si="37"/>
        <v>-3.9800000000000004</v>
      </c>
      <c r="H124" s="40">
        <f t="shared" si="39"/>
        <v>51.225490196078425</v>
      </c>
      <c r="I124" s="60">
        <f t="shared" si="38"/>
        <v>-39.32</v>
      </c>
      <c r="J124" s="60">
        <f>F124/D124*100</f>
        <v>9.60919540229885</v>
      </c>
      <c r="K124" s="60">
        <f>F124-97</f>
        <v>-92.82</v>
      </c>
      <c r="L124" s="138">
        <f>F124/97</f>
        <v>0.043092783505154636</v>
      </c>
      <c r="M124" s="40">
        <f>E124-лютий!E124</f>
        <v>3</v>
      </c>
      <c r="N124" s="40">
        <f>F124-лютий!F124</f>
        <v>4.02</v>
      </c>
      <c r="O124" s="53">
        <f t="shared" si="41"/>
        <v>1.0199999999999996</v>
      </c>
      <c r="P124" s="60">
        <f>N124/M124*100</f>
        <v>134</v>
      </c>
      <c r="Q124" s="60">
        <f>N124-70.5</f>
        <v>-66.48</v>
      </c>
      <c r="R124" s="138">
        <f>N124/70.5</f>
        <v>0.05702127659574467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-0.25</v>
      </c>
      <c r="G128" s="49">
        <f t="shared" si="43"/>
        <v>-0.25</v>
      </c>
      <c r="H128" s="40"/>
      <c r="I128" s="60">
        <f t="shared" si="44"/>
        <v>-0.25</v>
      </c>
      <c r="J128" s="60"/>
      <c r="K128" s="60">
        <f>F128-(-0.8)</f>
        <v>0.55</v>
      </c>
      <c r="L128" s="138">
        <f>F128/(-0.8)</f>
        <v>0.3125</v>
      </c>
      <c r="M128" s="40">
        <f>E128-лютий!E128</f>
        <v>0</v>
      </c>
      <c r="N128" s="40">
        <f>F128-лютий!F128</f>
        <v>-0.01999999999999999</v>
      </c>
      <c r="O128" s="53">
        <f t="shared" si="45"/>
        <v>-0.01999999999999999</v>
      </c>
      <c r="P128" s="60"/>
      <c r="Q128" s="60">
        <f>N128-(-0.1)</f>
        <v>0.08000000000000002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2616.44</v>
      </c>
      <c r="G129" s="62">
        <f t="shared" si="43"/>
        <v>93.58000000000038</v>
      </c>
      <c r="H129" s="72">
        <f>F129/E129*100</f>
        <v>103.70928232244358</v>
      </c>
      <c r="I129" s="61">
        <f t="shared" si="44"/>
        <v>-6134.26</v>
      </c>
      <c r="J129" s="61">
        <f>F129/D129*100</f>
        <v>29.899779446215728</v>
      </c>
      <c r="K129" s="61">
        <f>F129-2544.3</f>
        <v>72.13999999999987</v>
      </c>
      <c r="L129" s="139">
        <f>G129/2544.3</f>
        <v>0.036780253900876615</v>
      </c>
      <c r="M129" s="62">
        <f>M124+M127+M128+M126</f>
        <v>3</v>
      </c>
      <c r="N129" s="62">
        <f>N124+N127+N128+N126</f>
        <v>-876.8899999999999</v>
      </c>
      <c r="O129" s="61">
        <f t="shared" si="45"/>
        <v>-879.8899999999999</v>
      </c>
      <c r="P129" s="61">
        <f>N129/M129*100</f>
        <v>-29229.666666666664</v>
      </c>
      <c r="Q129" s="61">
        <f>N129-69.8</f>
        <v>-946.6899999999998</v>
      </c>
      <c r="R129" s="137">
        <f>N129/69.8</f>
        <v>-12.562893982808022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3.06</v>
      </c>
      <c r="G130" s="49">
        <f>F130-E130</f>
        <v>-4.789999999999999</v>
      </c>
      <c r="H130" s="40">
        <f>F130/E130*100</f>
        <v>38.98089171974522</v>
      </c>
      <c r="I130" s="60">
        <f>F130-D130</f>
        <v>-26.94</v>
      </c>
      <c r="J130" s="60">
        <f>F130/D130*100</f>
        <v>10.200000000000001</v>
      </c>
      <c r="K130" s="60">
        <f>F130-8.4</f>
        <v>-5.34</v>
      </c>
      <c r="L130" s="138">
        <f>F130/8.4</f>
        <v>0.36428571428571427</v>
      </c>
      <c r="M130" s="40">
        <f>E130-лютий!E130</f>
        <v>7</v>
      </c>
      <c r="N130" s="40">
        <f>F130-лютий!F130</f>
        <v>1.08</v>
      </c>
      <c r="O130" s="53">
        <f>N130-M130</f>
        <v>-5.92</v>
      </c>
      <c r="P130" s="60">
        <f>N130/M130*100</f>
        <v>15.42857142857143</v>
      </c>
      <c r="Q130" s="60">
        <f>N130-7.3</f>
        <v>-6.22</v>
      </c>
      <c r="R130" s="138">
        <f>N130/7.3</f>
        <v>0.14794520547945206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24493.62</v>
      </c>
      <c r="G133" s="50">
        <f t="shared" si="43"/>
        <v>2567.209999999999</v>
      </c>
      <c r="H133" s="51">
        <f>F133/E133*100</f>
        <v>111.70830062924118</v>
      </c>
      <c r="I133" s="36">
        <f t="shared" si="44"/>
        <v>-14214.064999999999</v>
      </c>
      <c r="J133" s="36">
        <f>F133/D133*100</f>
        <v>63.278441994141474</v>
      </c>
      <c r="K133" s="36">
        <f>F133-28295.3</f>
        <v>-3801.6800000000003</v>
      </c>
      <c r="L133" s="136">
        <f>F133/28295.3</f>
        <v>0.8656427039119571</v>
      </c>
      <c r="M133" s="31">
        <f>M116+M130+M123+M129+M132+M131</f>
        <v>3452.499999999998</v>
      </c>
      <c r="N133" s="31">
        <f>N116+N130+N123+N129+N132+N131</f>
        <v>2229.790000000001</v>
      </c>
      <c r="O133" s="36">
        <f t="shared" si="45"/>
        <v>-1222.7099999999973</v>
      </c>
      <c r="P133" s="36">
        <f>N133/M133*100</f>
        <v>64.584793627806</v>
      </c>
      <c r="Q133" s="36">
        <f>N133-9597.2</f>
        <v>-7367.41</v>
      </c>
      <c r="R133" s="136">
        <f>N133/9597.2</f>
        <v>0.2323375567873964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123560.56999999999</v>
      </c>
      <c r="G134" s="50">
        <f t="shared" si="43"/>
        <v>-16441.940000000017</v>
      </c>
      <c r="H134" s="51">
        <f>F134/E134*100</f>
        <v>88.25596769657913</v>
      </c>
      <c r="I134" s="36">
        <f t="shared" si="44"/>
        <v>-452187.01499999996</v>
      </c>
      <c r="J134" s="36">
        <f>F134/D134*100</f>
        <v>21.460892449944016</v>
      </c>
      <c r="K134" s="36">
        <f>F134-143076.7</f>
        <v>-19516.13000000002</v>
      </c>
      <c r="L134" s="136">
        <f>F134/143076.7</f>
        <v>0.863596728188447</v>
      </c>
      <c r="M134" s="22">
        <f>M106+M133</f>
        <v>45592.60000000001</v>
      </c>
      <c r="N134" s="22">
        <f>N106+N133</f>
        <v>29876.27999999999</v>
      </c>
      <c r="O134" s="36">
        <f t="shared" si="45"/>
        <v>-15716.320000000022</v>
      </c>
      <c r="P134" s="36">
        <f>N134/M134*100</f>
        <v>65.52879195308007</v>
      </c>
      <c r="Q134" s="36">
        <f>N134-49077.7</f>
        <v>-19201.420000000006</v>
      </c>
      <c r="R134" s="136">
        <f>N134/49077.7</f>
        <v>0.6087546889931679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3</v>
      </c>
      <c r="D136" s="4" t="s">
        <v>118</v>
      </c>
    </row>
    <row r="137" spans="2:17" ht="31.5">
      <c r="B137" s="78" t="s">
        <v>154</v>
      </c>
      <c r="C137" s="39">
        <f>IF(O106&lt;0,ABS(O106/C136),0)</f>
        <v>4831.203333333341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41724</v>
      </c>
      <c r="D138" s="39">
        <v>1482.9</v>
      </c>
      <c r="N138" s="152"/>
      <c r="O138" s="152"/>
    </row>
    <row r="139" spans="3:15" ht="15.75">
      <c r="C139" s="120">
        <v>41723</v>
      </c>
      <c r="D139" s="39">
        <v>1767.1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41722</v>
      </c>
      <c r="D140" s="39">
        <v>849.1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114434.20335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100608.98138999999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193</v>
      </c>
      <c r="F4" s="173" t="s">
        <v>116</v>
      </c>
      <c r="G4" s="175" t="s">
        <v>194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89"/>
      <c r="N4" s="168" t="s">
        <v>192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181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7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177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98"/>
      <c r="N4" s="168" t="s">
        <v>185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9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181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4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2014-03-27T12:37:09Z</cp:lastPrinted>
  <dcterms:created xsi:type="dcterms:W3CDTF">2003-07-28T11:27:56Z</dcterms:created>
  <dcterms:modified xsi:type="dcterms:W3CDTF">2014-03-27T12:37:55Z</dcterms:modified>
  <cp:category/>
  <cp:version/>
  <cp:contentType/>
  <cp:contentStatus/>
</cp:coreProperties>
</file>